
<file path=[Content_Types].xml><?xml version="1.0" encoding="utf-8"?>
<Types xmlns="http://schemas.openxmlformats.org/package/2006/content-types">
  <Default Extension="bin" ContentType="application/vnd.ms-office.vbaProject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 codeName="{91AB8045-AFC0-B76E-F17D-A240E00664AE}"/>
  <workbookPr filterPrivacy="1" codeName="ThisWorkbook"/>
  <xr:revisionPtr revIDLastSave="0" documentId="13_ncr:1_{9CCAE434-EA6C-4C26-86DD-37D507C92063}" xr6:coauthVersionLast="45" xr6:coauthVersionMax="45" xr10:uidLastSave="{00000000-0000-0000-0000-000000000000}"/>
  <bookViews>
    <workbookView xWindow="5436" yWindow="3396" windowWidth="17280" windowHeight="8964" xr2:uid="{00000000-000D-0000-FFFF-FFFF00000000}"/>
  </bookViews>
  <sheets>
    <sheet name="Sheet1" sheetId="2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3" l="1"/>
  <c r="R5" i="3"/>
  <c r="X3" i="3"/>
  <c r="V5" i="3" s="1"/>
  <c r="G8" i="3"/>
  <c r="H8" i="3"/>
  <c r="I8" i="3"/>
  <c r="J8" i="3"/>
  <c r="K8" i="3"/>
  <c r="L8" i="3"/>
  <c r="M8" i="3"/>
  <c r="N8" i="3"/>
  <c r="O8" i="3"/>
  <c r="P8" i="3"/>
  <c r="Q8" i="3"/>
  <c r="F8" i="3"/>
  <c r="U3" i="3"/>
  <c r="S5" i="3"/>
  <c r="S6" i="3"/>
  <c r="R9" i="2"/>
  <c r="S9" i="2"/>
  <c r="R7" i="3" l="1"/>
  <c r="Y5" i="3"/>
  <c r="AE5" i="3"/>
  <c r="AC5" i="3"/>
  <c r="AD5" i="3"/>
  <c r="AG5" i="3"/>
  <c r="AF5" i="3"/>
  <c r="W5" i="3"/>
  <c r="AB5" i="3"/>
  <c r="Z5" i="3"/>
  <c r="S8" i="3"/>
  <c r="T2" i="3" s="1"/>
  <c r="U2" i="3" s="1"/>
  <c r="AA5" i="3"/>
  <c r="X5" i="3"/>
  <c r="R6" i="3"/>
  <c r="R8" i="2"/>
  <c r="S8" i="2"/>
  <c r="U4" i="2"/>
  <c r="Q10" i="2"/>
  <c r="P10" i="2"/>
  <c r="O10" i="2"/>
  <c r="N10" i="2"/>
  <c r="M10" i="2"/>
  <c r="L10" i="2"/>
  <c r="K10" i="2"/>
  <c r="J10" i="2"/>
  <c r="I10" i="2"/>
  <c r="X7" i="2" s="1"/>
  <c r="H10" i="2"/>
  <c r="W7" i="2" s="1"/>
  <c r="G10" i="2"/>
  <c r="F10" i="2"/>
  <c r="U3" i="2"/>
  <c r="R7" i="2"/>
  <c r="S7" i="2"/>
  <c r="S6" i="2"/>
  <c r="S5" i="2"/>
  <c r="R5" i="2"/>
  <c r="R6" i="2"/>
  <c r="AE7" i="2" l="1"/>
  <c r="AF7" i="2"/>
  <c r="Y7" i="2"/>
  <c r="AB7" i="2"/>
  <c r="U7" i="2"/>
  <c r="AC7" i="2"/>
  <c r="V7" i="2"/>
  <c r="AD7" i="2"/>
  <c r="Z7" i="2"/>
  <c r="AA7" i="2"/>
  <c r="S10" i="2"/>
  <c r="U2" i="2" s="1"/>
  <c r="V2" i="2" s="1"/>
</calcChain>
</file>

<file path=xl/sharedStrings.xml><?xml version="1.0" encoding="utf-8"?>
<sst xmlns="http://schemas.openxmlformats.org/spreadsheetml/2006/main" count="136" uniqueCount="33">
  <si>
    <t>Emp#</t>
  </si>
  <si>
    <t>Name</t>
  </si>
  <si>
    <t>Department</t>
  </si>
  <si>
    <t>Joining Date</t>
  </si>
  <si>
    <t>Contract</t>
  </si>
  <si>
    <t>ID</t>
  </si>
  <si>
    <t>CV</t>
  </si>
  <si>
    <t>Rec. Approval</t>
  </si>
  <si>
    <t>Interview Sheet</t>
  </si>
  <si>
    <t>Offer</t>
  </si>
  <si>
    <t>Education Cer.</t>
  </si>
  <si>
    <t>Family ID</t>
  </si>
  <si>
    <t>Medical Test</t>
  </si>
  <si>
    <t>Photos</t>
  </si>
  <si>
    <t>Joining</t>
  </si>
  <si>
    <t>IBAN</t>
  </si>
  <si>
    <t>ü</t>
  </si>
  <si>
    <t>New Employees Files Tracker</t>
  </si>
  <si>
    <t>Status</t>
  </si>
  <si>
    <t>Mousa Ahmed</t>
  </si>
  <si>
    <t>HR</t>
  </si>
  <si>
    <t>Abdullah Mohammed</t>
  </si>
  <si>
    <t>Finance</t>
  </si>
  <si>
    <t>Compliation Percentage</t>
  </si>
  <si>
    <t>Ali Nasser</t>
  </si>
  <si>
    <t>Mohsen Abdullah</t>
  </si>
  <si>
    <t>Interview</t>
  </si>
  <si>
    <t>Abdullah Nasser</t>
  </si>
  <si>
    <t>Sales</t>
  </si>
  <si>
    <t>Employees Files Tracker</t>
  </si>
  <si>
    <t>Abdullah</t>
  </si>
  <si>
    <t>Compilation Percentage</t>
  </si>
  <si>
    <t>Nasser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</si>
</sst>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name val="Wingdings"/>
      <charset val="2"/>
    </font>
    <font>
      <sz val="26"/>
      <color theme="0"/>
      <name val="AL-Gemah-Alsomod"/>
      <charset val="178"/>
    </font>
    <font>
      <sz val="11"/>
      <name val="Verdana Pro Light"/>
      <family val="2"/>
    </font>
    <font>
      <sz val="8"/>
      <name val="Abadi"/>
      <family val="2"/>
    </font>
    <font>
      <sz val="8"/>
      <name val="Franklin Gothic Book"/>
      <family val="2"/>
      <scheme val="minor"/>
    </font>
    <font>
      <sz val="36"/>
      <color theme="0"/>
      <name val="AL-Gemah-Alsomod"/>
      <charset val="178"/>
    </font>
    <font>
      <sz val="11"/>
      <color theme="1"/>
      <name val="Wingdings"/>
      <charset val="2"/>
    </font>
    <font>
      <sz val="11"/>
      <color theme="1"/>
      <name val="Abadi Extra Light"/>
      <family val="2"/>
    </font>
    <font>
      <sz val="8"/>
      <color theme="1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double">
        <color theme="0"/>
      </bottom>
      <diagonal/>
    </border>
    <border>
      <left/>
      <right/>
      <top style="thin">
        <color theme="5"/>
      </top>
      <bottom/>
      <diagonal/>
    </border>
    <border>
      <left/>
      <right/>
      <top style="thin">
        <color theme="3"/>
      </top>
      <bottom/>
      <diagonal/>
    </border>
    <border>
      <left/>
      <right/>
      <top style="thin">
        <color theme="0"/>
      </top>
      <bottom style="double">
        <color theme="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 textRotation="90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9" fontId="6" fillId="0" borderId="0" xfId="1" applyFont="1" applyAlignment="1">
      <alignment horizontal="center" vertical="center"/>
    </xf>
    <xf numFmtId="9" fontId="6" fillId="0" borderId="0" xfId="1" applyNumberFormat="1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NumberFormat="1" applyFont="1" applyBorder="1" applyAlignment="1">
      <alignment horizontal="left" vertical="center"/>
    </xf>
    <xf numFmtId="14" fontId="0" fillId="0" borderId="0" xfId="0" applyNumberFormat="1" applyFont="1" applyBorder="1" applyAlignment="1">
      <alignment horizontal="left" vertical="center"/>
    </xf>
    <xf numFmtId="9" fontId="2" fillId="0" borderId="4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9" fontId="1" fillId="0" borderId="0" xfId="0" applyNumberFormat="1" applyFont="1"/>
    <xf numFmtId="9" fontId="1" fillId="0" borderId="0" xfId="1" applyFont="1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9" fontId="11" fillId="0" borderId="0" xfId="1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2" borderId="6" xfId="0" applyFill="1" applyBorder="1"/>
    <xf numFmtId="0" fontId="0" fillId="2" borderId="3" xfId="0" applyFill="1" applyBorder="1"/>
    <xf numFmtId="9" fontId="11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8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 Extra Light"/>
        <family val="2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Abadi Extra Light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alignment vertical="center" textRotation="0" wrapText="0" indent="0" justifyLastLine="0" shrinkToFit="0" readingOrder="0"/>
    </dxf>
    <dxf>
      <border>
        <top style="thin">
          <color theme="3"/>
        </top>
      </border>
    </dxf>
    <dxf>
      <alignment vertical="center" textRotation="0" wrapText="0" indent="0" justifyLastLine="0" shrinkToFit="0" readingOrder="0"/>
    </dxf>
    <dxf>
      <alignment horizontal="center" vertical="center" wrapText="0" indent="0" justifyLastLine="0" shrinkToFit="0" readingOrder="0"/>
    </dxf>
    <dxf>
      <font>
        <color theme="0"/>
      </font>
      <fill>
        <patternFill>
          <bgColor rgb="FF00CC9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Verdana Pro Light"/>
        <family val="2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Franklin Gothic Book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Franklin Gothic Book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Franklin Gothic Book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Franklin Gothic Book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Franklin Gothic Book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Franklin Gothic Book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bad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Franklin Gothic Book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Franklin Gothic Book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Franklin Gothic Book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Franklin Gothic Book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Franklin Gothic Book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Wingdings"/>
        <charset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alignment horizontal="left" vertical="center" textRotation="0" wrapText="0" indent="0" justifyLastLine="0" shrinkToFit="0" readingOrder="0"/>
    </dxf>
    <dxf>
      <border>
        <top style="thin">
          <color theme="5"/>
        </top>
      </border>
    </dxf>
    <dxf>
      <font>
        <strike val="0"/>
        <outline val="0"/>
        <shadow val="0"/>
        <u val="none"/>
        <vertAlign val="baseline"/>
        <name val="Franklin Gothic Book"/>
        <family val="2"/>
        <scheme val="minor"/>
      </font>
    </dxf>
    <dxf>
      <alignment horizontal="general" vertical="center" wrapText="0" indent="0" justifyLastLine="0" shrinkToFit="0" readingOrder="0"/>
    </dxf>
    <dxf>
      <font>
        <color theme="7"/>
      </font>
      <fill>
        <patternFill>
          <bgColor rgb="FF00CC99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gradientFill degree="90">
          <stop position="0">
            <color theme="3"/>
          </stop>
          <stop position="1">
            <color theme="3" tint="-0.25098422193060094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82"/>
      <tableStyleElement type="headerRow" dxfId="81"/>
      <tableStyleElement type="secondRowStripe" dxfId="80"/>
    </tableStyle>
  </tableStyles>
  <colors>
    <mruColors>
      <color rgb="FF00CC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06/relationships/vbaProject" Target="vbaProject.bin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27586206896551"/>
          <c:y val="4.4642857142857144E-2"/>
          <c:w val="0.69195402298850572"/>
          <c:h val="0.89583333333333337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CC99"/>
              </a:solidFill>
              <a:ln w="41275" cap="flat" cmpd="sng" algn="ctr">
                <a:solidFill>
                  <a:srgbClr val="00CC9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54-4BBA-B292-4F75D8DEFFD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754-4BBA-B292-4F75D8DEFFD9}"/>
              </c:ext>
            </c:extLst>
          </c:dPt>
          <c:val>
            <c:numRef>
              <c:f>Sheet1!$U$2:$V$2</c:f>
              <c:numCache>
                <c:formatCode>0%</c:formatCode>
                <c:ptCount val="2"/>
                <c:pt idx="0">
                  <c:v>0.6166666666666667</c:v>
                </c:pt>
                <c:pt idx="1">
                  <c:v>0.3833333333333333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4-4BBA-B292-4F75D8DEF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755747126436782E-2"/>
          <c:y val="0"/>
          <c:w val="0.96048850574712641"/>
          <c:h val="0.760228500849158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gency FB" panose="020B05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Sheet1!$U$6:$AF$6</c:f>
              <c:strCache>
                <c:ptCount val="12"/>
                <c:pt idx="0">
                  <c:v>CV</c:v>
                </c:pt>
                <c:pt idx="1">
                  <c:v>Rec. Approval</c:v>
                </c:pt>
                <c:pt idx="2">
                  <c:v>Interview</c:v>
                </c:pt>
                <c:pt idx="3">
                  <c:v>Offer</c:v>
                </c:pt>
                <c:pt idx="4">
                  <c:v>Education Cer.</c:v>
                </c:pt>
                <c:pt idx="5">
                  <c:v>ID</c:v>
                </c:pt>
                <c:pt idx="6">
                  <c:v>Family ID</c:v>
                </c:pt>
                <c:pt idx="7">
                  <c:v>Medical Test</c:v>
                </c:pt>
                <c:pt idx="8">
                  <c:v>Photos</c:v>
                </c:pt>
                <c:pt idx="9">
                  <c:v>Joining</c:v>
                </c:pt>
                <c:pt idx="10">
                  <c:v>Contract</c:v>
                </c:pt>
                <c:pt idx="11">
                  <c:v>IBAN</c:v>
                </c:pt>
              </c:strCache>
            </c:strRef>
          </c:cat>
          <c:val>
            <c:numRef>
              <c:f>Sheet1!$U$7:$AF$7</c:f>
              <c:numCache>
                <c:formatCode>0%</c:formatCode>
                <c:ptCount val="12"/>
                <c:pt idx="0">
                  <c:v>1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0.4</c:v>
                </c:pt>
                <c:pt idx="6">
                  <c:v>0.4</c:v>
                </c:pt>
                <c:pt idx="7">
                  <c:v>0.8</c:v>
                </c:pt>
                <c:pt idx="8">
                  <c:v>0.8</c:v>
                </c:pt>
                <c:pt idx="9">
                  <c:v>0.4</c:v>
                </c:pt>
                <c:pt idx="10">
                  <c:v>0.8</c:v>
                </c:pt>
                <c:pt idx="1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6-4E63-A194-D65CBDFDF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548536528"/>
        <c:axId val="651876024"/>
      </c:barChart>
      <c:catAx>
        <c:axId val="54853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876024"/>
        <c:crosses val="autoZero"/>
        <c:auto val="1"/>
        <c:lblAlgn val="ctr"/>
        <c:lblOffset val="100"/>
        <c:noMultiLvlLbl val="0"/>
      </c:catAx>
      <c:valAx>
        <c:axId val="651876024"/>
        <c:scaling>
          <c:orientation val="minMax"/>
          <c:max val="1"/>
        </c:scaling>
        <c:delete val="1"/>
        <c:axPos val="l"/>
        <c:numFmt formatCode="0%" sourceLinked="1"/>
        <c:majorTickMark val="out"/>
        <c:minorTickMark val="none"/>
        <c:tickLblPos val="nextTo"/>
        <c:crossAx val="54853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85897435897434"/>
          <c:y val="8.6580086580086577E-2"/>
          <c:w val="0.61217948717948723"/>
          <c:h val="0.8268398268398268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CC99"/>
              </a:solidFill>
              <a:ln w="63500">
                <a:solidFill>
                  <a:srgbClr val="00CC9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9A-4BBF-8234-00F5760D3AE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F9A-4BBF-8234-00F5760D3AE2}"/>
              </c:ext>
            </c:extLst>
          </c:dPt>
          <c:val>
            <c:numRef>
              <c:f>Sheet2!$T$2:$U$2</c:f>
              <c:numCache>
                <c:formatCode>0%</c:formatCode>
                <c:ptCount val="2"/>
                <c:pt idx="0">
                  <c:v>0.58333333333333337</c:v>
                </c:pt>
                <c:pt idx="1">
                  <c:v>0.41666666666666663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A-4BBF-8234-00F5760D3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gency FB" panose="020B05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Sheet2!$V$4:$AG$4</c:f>
              <c:strCache>
                <c:ptCount val="12"/>
                <c:pt idx="0">
                  <c:v>CV</c:v>
                </c:pt>
                <c:pt idx="1">
                  <c:v>Rec. Approval</c:v>
                </c:pt>
                <c:pt idx="2">
                  <c:v>Interview Sheet</c:v>
                </c:pt>
                <c:pt idx="3">
                  <c:v>Offer</c:v>
                </c:pt>
                <c:pt idx="4">
                  <c:v>Education Cer.</c:v>
                </c:pt>
                <c:pt idx="5">
                  <c:v>ID</c:v>
                </c:pt>
                <c:pt idx="6">
                  <c:v>Family ID</c:v>
                </c:pt>
                <c:pt idx="7">
                  <c:v>Medical Test</c:v>
                </c:pt>
                <c:pt idx="8">
                  <c:v>Photos</c:v>
                </c:pt>
                <c:pt idx="9">
                  <c:v>Joining</c:v>
                </c:pt>
                <c:pt idx="10">
                  <c:v>Contract</c:v>
                </c:pt>
                <c:pt idx="11">
                  <c:v>IBAN</c:v>
                </c:pt>
              </c:strCache>
            </c:strRef>
          </c:cat>
          <c:val>
            <c:numRef>
              <c:f>Sheet2!$V$5:$AG$5</c:f>
              <c:numCache>
                <c:formatCode>0%</c:formatCode>
                <c:ptCount val="12"/>
                <c:pt idx="0">
                  <c:v>0.66666666666666663</c:v>
                </c:pt>
                <c:pt idx="1">
                  <c:v>0.33333333333333331</c:v>
                </c:pt>
                <c:pt idx="2">
                  <c:v>1</c:v>
                </c:pt>
                <c:pt idx="3">
                  <c:v>0.33333333333333331</c:v>
                </c:pt>
                <c:pt idx="4">
                  <c:v>0.66666666666666663</c:v>
                </c:pt>
                <c:pt idx="5">
                  <c:v>0.33333333333333331</c:v>
                </c:pt>
                <c:pt idx="6">
                  <c:v>1</c:v>
                </c:pt>
                <c:pt idx="7">
                  <c:v>0.33333333333333331</c:v>
                </c:pt>
                <c:pt idx="8">
                  <c:v>0.66666666666666663</c:v>
                </c:pt>
                <c:pt idx="9">
                  <c:v>0.66666666666666663</c:v>
                </c:pt>
                <c:pt idx="10">
                  <c:v>0.66666666666666663</c:v>
                </c:pt>
                <c:pt idx="1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B-401C-95E6-BA988B562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27"/>
        <c:axId val="548519568"/>
        <c:axId val="548524048"/>
      </c:barChart>
      <c:catAx>
        <c:axId val="54851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524048"/>
        <c:crosses val="autoZero"/>
        <c:auto val="1"/>
        <c:lblAlgn val="ctr"/>
        <c:lblOffset val="100"/>
        <c:noMultiLvlLbl val="0"/>
      </c:catAx>
      <c:valAx>
        <c:axId val="548524048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54851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129528</xdr:rowOff>
    </xdr:from>
    <xdr:to>
      <xdr:col>1</xdr:col>
      <xdr:colOff>708660</xdr:colOff>
      <xdr:row>1</xdr:row>
      <xdr:rowOff>568641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DF57FD-35C8-418A-A875-388E19505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" y="403848"/>
          <a:ext cx="594360" cy="439113"/>
        </a:xfrm>
        <a:prstGeom prst="rect">
          <a:avLst/>
        </a:prstGeom>
      </xdr:spPr>
    </xdr:pic>
    <xdr:clientData/>
  </xdr:twoCellAnchor>
  <xdr:twoCellAnchor editAs="oneCell">
    <xdr:from>
      <xdr:col>17</xdr:col>
      <xdr:colOff>815340</xdr:colOff>
      <xdr:row>1</xdr:row>
      <xdr:rowOff>129528</xdr:rowOff>
    </xdr:from>
    <xdr:to>
      <xdr:col>17</xdr:col>
      <xdr:colOff>1409700</xdr:colOff>
      <xdr:row>1</xdr:row>
      <xdr:rowOff>568641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6F3D9354-E7DC-47D3-8AB9-0230EB2EA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8240" y="403848"/>
          <a:ext cx="594360" cy="439113"/>
        </a:xfrm>
        <a:prstGeom prst="rect">
          <a:avLst/>
        </a:prstGeom>
      </xdr:spPr>
    </xdr:pic>
    <xdr:clientData/>
  </xdr:twoCellAnchor>
  <xdr:twoCellAnchor>
    <xdr:from>
      <xdr:col>2</xdr:col>
      <xdr:colOff>259080</xdr:colOff>
      <xdr:row>2</xdr:row>
      <xdr:rowOff>15240</xdr:rowOff>
    </xdr:from>
    <xdr:to>
      <xdr:col>3</xdr:col>
      <xdr:colOff>22860</xdr:colOff>
      <xdr:row>2</xdr:row>
      <xdr:rowOff>868680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C92DE33-E4E6-4BBB-AA70-24F81B1503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510540</xdr:colOff>
      <xdr:row>2</xdr:row>
      <xdr:rowOff>304800</xdr:rowOff>
    </xdr:from>
    <xdr:to>
      <xdr:col>2</xdr:col>
      <xdr:colOff>1143000</xdr:colOff>
      <xdr:row>2</xdr:row>
      <xdr:rowOff>571500</xdr:rowOff>
    </xdr:to>
    <xdr:sp macro="" textlink="$U$2">
      <xdr:nvSpPr>
        <xdr:cNvPr id="5" name="TextBox 4">
          <a:extLst>
            <a:ext uri="{FF2B5EF4-FFF2-40B4-BE49-F238E27FC236}">
              <a16:creationId xmlns:a16="http://schemas.microsoft.com/office/drawing/2014/main" id="{005A9831-8408-4A3A-AA97-B80CC47BBBB7}"/>
            </a:ext>
          </a:extLst>
        </xdr:cNvPr>
        <xdr:cNvSpPr txBox="1"/>
      </xdr:nvSpPr>
      <xdr:spPr>
        <a:xfrm>
          <a:off x="1394460" y="1089660"/>
          <a:ext cx="63246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DDD2DCC-5D8F-421F-9574-8D120A06682B}" type="TxLink">
            <a:rPr lang="en-US" sz="1800" b="1" i="0" u="none" strike="noStrike">
              <a:solidFill>
                <a:schemeClr val="bg1"/>
              </a:solidFill>
              <a:latin typeface="Agency FB" panose="020B0503020202020204" pitchFamily="34" charset="0"/>
            </a:rPr>
            <a:pPr algn="ctr"/>
            <a:t>62%</a:t>
          </a:fld>
          <a:endParaRPr lang="en-US" sz="1800" b="1">
            <a:solidFill>
              <a:schemeClr val="bg1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</xdr:col>
      <xdr:colOff>30480</xdr:colOff>
      <xdr:row>2</xdr:row>
      <xdr:rowOff>68580</xdr:rowOff>
    </xdr:from>
    <xdr:to>
      <xdr:col>2</xdr:col>
      <xdr:colOff>373380</xdr:colOff>
      <xdr:row>2</xdr:row>
      <xdr:rowOff>807720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2CFE15E-DCC2-490C-9ADF-17FF55CD039C}"/>
            </a:ext>
          </a:extLst>
        </xdr:cNvPr>
        <xdr:cNvSpPr txBox="1"/>
      </xdr:nvSpPr>
      <xdr:spPr>
        <a:xfrm>
          <a:off x="182880" y="853440"/>
          <a:ext cx="1074420" cy="739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bg1"/>
              </a:solidFill>
            </a:rPr>
            <a:t>Percentage of Files Compliation</a:t>
          </a:r>
        </a:p>
      </xdr:txBody>
    </xdr:sp>
    <xdr:clientData/>
  </xdr:twoCellAnchor>
  <xdr:twoCellAnchor>
    <xdr:from>
      <xdr:col>3</xdr:col>
      <xdr:colOff>7620</xdr:colOff>
      <xdr:row>2</xdr:row>
      <xdr:rowOff>7620</xdr:rowOff>
    </xdr:from>
    <xdr:to>
      <xdr:col>3</xdr:col>
      <xdr:colOff>1463040</xdr:colOff>
      <xdr:row>2</xdr:row>
      <xdr:rowOff>678180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BD5374E-032B-4212-B292-D760764FD9ED}"/>
            </a:ext>
          </a:extLst>
        </xdr:cNvPr>
        <xdr:cNvSpPr txBox="1"/>
      </xdr:nvSpPr>
      <xdr:spPr>
        <a:xfrm>
          <a:off x="2232660" y="792480"/>
          <a:ext cx="1455420" cy="670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>
              <a:solidFill>
                <a:schemeClr val="bg1"/>
              </a:solidFill>
            </a:rPr>
            <a:t>Number of Employees Yet</a:t>
          </a:r>
          <a:r>
            <a:rPr lang="en-US" sz="1050" baseline="0">
              <a:solidFill>
                <a:schemeClr val="bg1"/>
              </a:solidFill>
            </a:rPr>
            <a:t> to Join</a:t>
          </a:r>
          <a:endParaRPr lang="en-US" sz="105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388620</xdr:colOff>
      <xdr:row>2</xdr:row>
      <xdr:rowOff>411480</xdr:rowOff>
    </xdr:from>
    <xdr:to>
      <xdr:col>3</xdr:col>
      <xdr:colOff>975360</xdr:colOff>
      <xdr:row>2</xdr:row>
      <xdr:rowOff>815340</xdr:rowOff>
    </xdr:to>
    <xdr:sp macro="" textlink="$U$3">
      <xdr:nvSpPr>
        <xdr:cNvPr id="33" name="TextBox 32">
          <a:extLst>
            <a:ext uri="{FF2B5EF4-FFF2-40B4-BE49-F238E27FC236}">
              <a16:creationId xmlns:a16="http://schemas.microsoft.com/office/drawing/2014/main" id="{8531E242-400B-4BDD-8B84-20CA0A8F4539}"/>
            </a:ext>
          </a:extLst>
        </xdr:cNvPr>
        <xdr:cNvSpPr txBox="1"/>
      </xdr:nvSpPr>
      <xdr:spPr>
        <a:xfrm>
          <a:off x="2613660" y="1196340"/>
          <a:ext cx="586740" cy="403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567CC2DA-E1C1-44AD-8F23-604377E255D1}" type="TxLink">
            <a:rPr lang="en-US" sz="2400" b="0" i="0" u="none" strike="noStrike">
              <a:solidFill>
                <a:srgbClr val="00CC99"/>
              </a:solidFill>
              <a:latin typeface="Impact" panose="020B0806030902050204" pitchFamily="34" charset="0"/>
            </a:rPr>
            <a:pPr algn="ctr"/>
            <a:t>2</a:t>
          </a:fld>
          <a:endParaRPr lang="en-US" sz="2800">
            <a:solidFill>
              <a:srgbClr val="00CC99"/>
            </a:solidFill>
            <a:latin typeface="Impact" panose="020B0806030902050204" pitchFamily="34" charset="0"/>
          </a:endParaRPr>
        </a:p>
      </xdr:txBody>
    </xdr:sp>
    <xdr:clientData/>
  </xdr:twoCellAnchor>
  <xdr:twoCellAnchor>
    <xdr:from>
      <xdr:col>4</xdr:col>
      <xdr:colOff>22860</xdr:colOff>
      <xdr:row>2</xdr:row>
      <xdr:rowOff>26670</xdr:rowOff>
    </xdr:from>
    <xdr:to>
      <xdr:col>17</xdr:col>
      <xdr:colOff>1501140</xdr:colOff>
      <xdr:row>2</xdr:row>
      <xdr:rowOff>868680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2419D89-DEF5-49C2-962F-206CAA6D90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1</xdr:row>
      <xdr:rowOff>142335</xdr:rowOff>
    </xdr:from>
    <xdr:to>
      <xdr:col>2</xdr:col>
      <xdr:colOff>91440</xdr:colOff>
      <xdr:row>1</xdr:row>
      <xdr:rowOff>626485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66CB20-4631-44BC-96BB-CB01B18F5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" y="332835"/>
          <a:ext cx="655320" cy="484150"/>
        </a:xfrm>
        <a:prstGeom prst="rect">
          <a:avLst/>
        </a:prstGeom>
      </xdr:spPr>
    </xdr:pic>
    <xdr:clientData/>
  </xdr:twoCellAnchor>
  <xdr:twoCellAnchor editAs="oneCell">
    <xdr:from>
      <xdr:col>16</xdr:col>
      <xdr:colOff>388620</xdr:colOff>
      <xdr:row>1</xdr:row>
      <xdr:rowOff>134715</xdr:rowOff>
    </xdr:from>
    <xdr:to>
      <xdr:col>17</xdr:col>
      <xdr:colOff>655320</xdr:colOff>
      <xdr:row>1</xdr:row>
      <xdr:rowOff>618865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FC86DAA-F24A-4532-A0F1-33B2C73A7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5320" y="325215"/>
          <a:ext cx="655320" cy="484150"/>
        </a:xfrm>
        <a:prstGeom prst="rect">
          <a:avLst/>
        </a:prstGeom>
      </xdr:spPr>
    </xdr:pic>
    <xdr:clientData/>
  </xdr:twoCellAnchor>
  <xdr:twoCellAnchor>
    <xdr:from>
      <xdr:col>2</xdr:col>
      <xdr:colOff>624840</xdr:colOff>
      <xdr:row>2</xdr:row>
      <xdr:rowOff>3810</xdr:rowOff>
    </xdr:from>
    <xdr:to>
      <xdr:col>2</xdr:col>
      <xdr:colOff>1813560</xdr:colOff>
      <xdr:row>3</xdr:row>
      <xdr:rowOff>7620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C0857CB-F0E6-4250-8D66-B644C29074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83820</xdr:colOff>
      <xdr:row>2</xdr:row>
      <xdr:rowOff>137160</xdr:rowOff>
    </xdr:from>
    <xdr:to>
      <xdr:col>2</xdr:col>
      <xdr:colOff>426720</xdr:colOff>
      <xdr:row>3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60ACAC0-C286-43D8-B7B1-D70B4341213D}"/>
            </a:ext>
          </a:extLst>
        </xdr:cNvPr>
        <xdr:cNvSpPr txBox="1"/>
      </xdr:nvSpPr>
      <xdr:spPr>
        <a:xfrm>
          <a:off x="320040" y="1059180"/>
          <a:ext cx="1074420" cy="739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bg1"/>
              </a:solidFill>
            </a:rPr>
            <a:t>Percentage of Files Compliation</a:t>
          </a:r>
        </a:p>
      </xdr:txBody>
    </xdr:sp>
    <xdr:clientData/>
  </xdr:twoCellAnchor>
  <xdr:twoCellAnchor>
    <xdr:from>
      <xdr:col>2</xdr:col>
      <xdr:colOff>899160</xdr:colOff>
      <xdr:row>2</xdr:row>
      <xdr:rowOff>289560</xdr:rowOff>
    </xdr:from>
    <xdr:to>
      <xdr:col>2</xdr:col>
      <xdr:colOff>1447800</xdr:colOff>
      <xdr:row>2</xdr:row>
      <xdr:rowOff>586740</xdr:rowOff>
    </xdr:to>
    <xdr:sp macro="" textlink="$T$2">
      <xdr:nvSpPr>
        <xdr:cNvPr id="7" name="TextBox 6">
          <a:extLst>
            <a:ext uri="{FF2B5EF4-FFF2-40B4-BE49-F238E27FC236}">
              <a16:creationId xmlns:a16="http://schemas.microsoft.com/office/drawing/2014/main" id="{DDD969E7-212D-4589-BE1A-0F8A6A39C331}"/>
            </a:ext>
          </a:extLst>
        </xdr:cNvPr>
        <xdr:cNvSpPr txBox="1"/>
      </xdr:nvSpPr>
      <xdr:spPr>
        <a:xfrm>
          <a:off x="1866900" y="1211580"/>
          <a:ext cx="54864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09529D25-2DBA-45D2-9199-BE8A08C2BAE6}" type="TxLink">
            <a:rPr lang="en-US" sz="1400" b="0" i="0" u="none" strike="noStrike">
              <a:solidFill>
                <a:schemeClr val="bg1"/>
              </a:solidFill>
              <a:latin typeface="Impact" panose="020B0806030902050204" pitchFamily="34" charset="0"/>
            </a:rPr>
            <a:pPr algn="ctr"/>
            <a:t>58%</a:t>
          </a:fld>
          <a:endParaRPr lang="en-US" sz="1400">
            <a:solidFill>
              <a:schemeClr val="bg1"/>
            </a:solidFill>
            <a:latin typeface="Impact" panose="020B0806030902050204" pitchFamily="34" charset="0"/>
          </a:endParaRPr>
        </a:p>
      </xdr:txBody>
    </xdr:sp>
    <xdr:clientData/>
  </xdr:twoCellAnchor>
  <xdr:twoCellAnchor>
    <xdr:from>
      <xdr:col>2</xdr:col>
      <xdr:colOff>1851660</xdr:colOff>
      <xdr:row>2</xdr:row>
      <xdr:rowOff>30480</xdr:rowOff>
    </xdr:from>
    <xdr:to>
      <xdr:col>4</xdr:col>
      <xdr:colOff>0</xdr:colOff>
      <xdr:row>2</xdr:row>
      <xdr:rowOff>701040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5E66CF-8188-4A8A-849E-88A877C96B89}"/>
            </a:ext>
          </a:extLst>
        </xdr:cNvPr>
        <xdr:cNvSpPr txBox="1"/>
      </xdr:nvSpPr>
      <xdr:spPr>
        <a:xfrm>
          <a:off x="2819400" y="952500"/>
          <a:ext cx="1508760" cy="670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>
              <a:solidFill>
                <a:schemeClr val="bg1"/>
              </a:solidFill>
            </a:rPr>
            <a:t>Number of Employees Yet</a:t>
          </a:r>
          <a:r>
            <a:rPr lang="en-US" sz="1050" baseline="0">
              <a:solidFill>
                <a:schemeClr val="bg1"/>
              </a:solidFill>
            </a:rPr>
            <a:t> to Join</a:t>
          </a:r>
          <a:endParaRPr lang="en-US" sz="105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83820</xdr:colOff>
      <xdr:row>2</xdr:row>
      <xdr:rowOff>434340</xdr:rowOff>
    </xdr:from>
    <xdr:to>
      <xdr:col>3</xdr:col>
      <xdr:colOff>1310640</xdr:colOff>
      <xdr:row>2</xdr:row>
      <xdr:rowOff>777240</xdr:rowOff>
    </xdr:to>
    <xdr:sp macro="" textlink="$U$3">
      <xdr:nvSpPr>
        <xdr:cNvPr id="9" name="TextBox 8">
          <a:extLst>
            <a:ext uri="{FF2B5EF4-FFF2-40B4-BE49-F238E27FC236}">
              <a16:creationId xmlns:a16="http://schemas.microsoft.com/office/drawing/2014/main" id="{AD47345B-6178-4632-A98C-6D2B2F15374C}"/>
            </a:ext>
          </a:extLst>
        </xdr:cNvPr>
        <xdr:cNvSpPr txBox="1"/>
      </xdr:nvSpPr>
      <xdr:spPr>
        <a:xfrm>
          <a:off x="2773680" y="1257300"/>
          <a:ext cx="122682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57E7C847-8A96-49BB-A013-B3478FB94BB7}" type="TxLink">
            <a:rPr lang="en-US" sz="2000" b="0" i="0" u="none" strike="noStrike">
              <a:solidFill>
                <a:srgbClr val="00CC99"/>
              </a:solidFill>
              <a:latin typeface="Impact" panose="020B0806030902050204" pitchFamily="34" charset="0"/>
            </a:rPr>
            <a:pPr algn="ctr"/>
            <a:t>1</a:t>
          </a:fld>
          <a:endParaRPr lang="en-US" sz="2000">
            <a:solidFill>
              <a:srgbClr val="00CC99"/>
            </a:solidFill>
            <a:latin typeface="Impact" panose="020B0806030902050204" pitchFamily="34" charset="0"/>
          </a:endParaRPr>
        </a:p>
      </xdr:txBody>
    </xdr:sp>
    <xdr:clientData/>
  </xdr:twoCellAnchor>
  <xdr:twoCellAnchor>
    <xdr:from>
      <xdr:col>4</xdr:col>
      <xdr:colOff>30480</xdr:colOff>
      <xdr:row>2</xdr:row>
      <xdr:rowOff>19050</xdr:rowOff>
    </xdr:from>
    <xdr:to>
      <xdr:col>17</xdr:col>
      <xdr:colOff>1394460</xdr:colOff>
      <xdr:row>2</xdr:row>
      <xdr:rowOff>853440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036EFD7-BA20-462C-8C74-972D121E19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60F4F2-B6E9-4F5E-A6A5-F937BE2D0BB4}" name="Table2" displayName="Table2" ref="B4:S10" totalsRowCount="1" headerRowDxfId="78" totalsRowDxfId="77" totalsRowBorderDxfId="76">
  <autoFilter ref="B4:S9" xr:uid="{2EA4BF7D-6C72-460E-B5D1-F7F28BA11A2C}"/>
  <tableColumns count="18">
    <tableColumn id="1" xr3:uid="{269E4342-C420-4267-A80B-0013AB38C9ED}" name="Emp#" dataDxfId="75" totalsRowDxfId="74"/>
    <tableColumn id="2" xr3:uid="{ABD596CC-B043-4356-983F-5EA3D06B38FE}" name="Name" dataDxfId="73" totalsRowDxfId="72"/>
    <tableColumn id="3" xr3:uid="{7CAD8A18-2B15-471D-8BFC-E71F68479D3E}" name="Department" dataDxfId="71" totalsRowDxfId="70"/>
    <tableColumn id="4" xr3:uid="{9EFDAB73-5AA6-4BDB-B0D2-1E4BD1B3F5EF}" name="Joining Date" dataDxfId="69" totalsRowDxfId="68"/>
    <tableColumn id="5" xr3:uid="{D2C54EE5-820D-4AD0-A806-9BDE3E83D6B0}" name="CV" totalsRowFunction="count" dataDxfId="67" totalsRowDxfId="66"/>
    <tableColumn id="6" xr3:uid="{B266C9F3-AFE6-4698-BFA3-CA5F3EC94E7D}" name="Rec. Approval" totalsRowFunction="count" dataDxfId="65" totalsRowDxfId="64"/>
    <tableColumn id="7" xr3:uid="{E37DDECD-AF58-4879-B5E5-11986E20B79F}" name="Interview Sheet" totalsRowFunction="count" dataDxfId="63" totalsRowDxfId="62"/>
    <tableColumn id="8" xr3:uid="{A99C3601-2D32-498B-9E41-5DAEDF13D7FA}" name="Offer" totalsRowFunction="count" dataDxfId="61" totalsRowDxfId="60"/>
    <tableColumn id="9" xr3:uid="{B85B77BB-D453-448D-B042-1D9BA27D73FF}" name="Education Cer." totalsRowFunction="count" dataDxfId="59" totalsRowDxfId="58"/>
    <tableColumn id="10" xr3:uid="{382C4895-9069-461A-9B46-84A26E39EF20}" name="ID" totalsRowFunction="count" dataDxfId="57" totalsRowDxfId="56"/>
    <tableColumn id="11" xr3:uid="{E9834D92-63D4-419C-B0CA-78864D6D07B6}" name="Family ID" totalsRowFunction="count" dataDxfId="55" totalsRowDxfId="54"/>
    <tableColumn id="12" xr3:uid="{8FBA432B-2987-4CC1-8DF0-F3397762BEFA}" name="Medical Test" totalsRowFunction="count" dataDxfId="53" totalsRowDxfId="52"/>
    <tableColumn id="13" xr3:uid="{7ECCCA20-9C67-427A-8983-DD8CF21FBF9E}" name="Photos" totalsRowFunction="count" dataDxfId="51" totalsRowDxfId="50"/>
    <tableColumn id="14" xr3:uid="{ECC3633C-D4C3-4936-BF43-BD5D73E97E12}" name="Joining" totalsRowFunction="count" dataDxfId="49" totalsRowDxfId="48"/>
    <tableColumn id="15" xr3:uid="{5E8A11CB-D04F-4717-A857-C8ED8172FAFB}" name="Contract" totalsRowFunction="count" dataDxfId="47" totalsRowDxfId="46"/>
    <tableColumn id="16" xr3:uid="{DC1F88FD-5B63-480E-84C0-77594EACDD82}" name="IBAN" totalsRowFunction="count" dataDxfId="45" totalsRowDxfId="44"/>
    <tableColumn id="18" xr3:uid="{BE4919C6-5B23-4E9B-982A-CAE47B000ECD}" name="Status" dataDxfId="43" totalsRowDxfId="42">
      <calculatedColumnFormula>IF(COUNTA(Table2[[#This Row],[CV]:[IBAN]])=12,"File is Completed","Uncompleted")</calculatedColumnFormula>
    </tableColumn>
    <tableColumn id="19" xr3:uid="{C0F7EC03-E791-4621-9F98-556EB4A6FA63}" name="Compliation Percentage" totalsRowFunction="average" dataDxfId="41" totalsRowDxfId="40" dataCellStyle="Percent">
      <calculatedColumnFormula>COUNTA(Table2[[#This Row],[CV]:[IBAN]])/12</calculatedColumnFormula>
    </tableColumn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5968F-4205-440B-8910-38FF1D334842}" name="Table1" displayName="Table1" ref="B4:S8" totalsRowCount="1" headerRowDxfId="38" dataDxfId="37" totalsRowBorderDxfId="36">
  <autoFilter ref="B4:S7" xr:uid="{12EA0A94-C649-4935-95E4-D1F3F3E555B1}"/>
  <tableColumns count="18">
    <tableColumn id="1" xr3:uid="{CF2E7EB1-D9BA-4102-B273-E455D2F714A6}" name="Emp#" dataDxfId="35" totalsRowDxfId="34"/>
    <tableColumn id="2" xr3:uid="{9D72610B-B866-4607-B83C-1C12683DAE01}" name="Name" dataDxfId="33" totalsRowDxfId="32"/>
    <tableColumn id="3" xr3:uid="{D2F6DEC5-8701-43C1-B6A5-1924628F591C}" name="Department" dataDxfId="31" totalsRowDxfId="30"/>
    <tableColumn id="4" xr3:uid="{4CA16928-EDB5-49D3-B9AA-2360627CD67C}" name="Joining Date" dataDxfId="29" totalsRowDxfId="28"/>
    <tableColumn id="5" xr3:uid="{CA54FCF8-4CB6-4E84-ABE7-1DD02910AAB1}" name="CV" totalsRowFunction="count" dataDxfId="27" totalsRowDxfId="26"/>
    <tableColumn id="6" xr3:uid="{62F9F009-9BBE-4CB2-B2D4-14A6BEB73BD1}" name="Rec. Approval" totalsRowFunction="count" dataDxfId="25" totalsRowDxfId="24"/>
    <tableColumn id="7" xr3:uid="{9105698B-5791-4C16-8A07-F059136530C8}" name="Interview Sheet" totalsRowFunction="count" dataDxfId="23" totalsRowDxfId="22"/>
    <tableColumn id="8" xr3:uid="{FE1D2F3B-D3E0-48B7-8EB7-8E7B692C2599}" name="Offer" totalsRowFunction="count" dataDxfId="21" totalsRowDxfId="20"/>
    <tableColumn id="9" xr3:uid="{04B981CF-D0A4-4F9E-829E-42056100D0E8}" name="Education Cer." totalsRowFunction="count" dataDxfId="19" totalsRowDxfId="18"/>
    <tableColumn id="10" xr3:uid="{84476ED7-A3FB-4473-8B1B-F55754B63FB9}" name="ID" totalsRowFunction="count" dataDxfId="17" totalsRowDxfId="16"/>
    <tableColumn id="11" xr3:uid="{21E96B8E-D9BB-448F-84F1-2E7A252CEA00}" name="Family ID" totalsRowFunction="count" dataDxfId="15" totalsRowDxfId="14"/>
    <tableColumn id="12" xr3:uid="{33665CEC-F456-483B-BA61-EFC21D9FAEF3}" name="Medical Test" totalsRowFunction="count" dataDxfId="13" totalsRowDxfId="12"/>
    <tableColumn id="13" xr3:uid="{7C9D03E0-7A5F-476B-9E64-9AF64C519515}" name="Photos" totalsRowFunction="count" dataDxfId="11" totalsRowDxfId="10"/>
    <tableColumn id="14" xr3:uid="{7B39E75D-A149-4A32-9780-CA1236A06030}" name="Joining" totalsRowFunction="count" dataDxfId="9" totalsRowDxfId="8"/>
    <tableColumn id="15" xr3:uid="{F577BCAA-C9E1-4869-B422-648E4DF39A4C}" name="Contract" totalsRowFunction="count" dataDxfId="7" totalsRowDxfId="6"/>
    <tableColumn id="16" xr3:uid="{B22629F4-F01A-4E02-ACD5-0A0B38A15360}" name="IBAN" totalsRowFunction="count" dataDxfId="5" totalsRowDxfId="4"/>
    <tableColumn id="17" xr3:uid="{06419340-AA8D-4F67-B708-C9BDB18A351A}" name="Status" dataDxfId="3" totalsRowDxfId="2">
      <calculatedColumnFormula>IF(COUNTA(F5:Q7)=12,"File is Completed","Uncompleted")</calculatedColumnFormula>
    </tableColumn>
    <tableColumn id="18" xr3:uid="{220548E8-07D9-4F8F-A9BE-D32C5D13E70D}" name="Compilation Percentage" totalsRowFunction="average" dataDxfId="1" totalsRowDxfId="0" dataCellStyle="Percent">
      <calculatedColumnFormula>COUNTA(F5:Q5)/12</calculatedColumnFormula>
    </tableColumn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72A9-3DE6-49A4-82BC-6D015A543044}">
  <sheetPr codeName="Sheet2"/>
  <dimension ref="B1:AF10"/>
  <sheetViews>
    <sheetView showGridLines="0" tabSelected="1" workbookViewId="0">
      <pane ySplit="4" topLeftCell="A5" activePane="bottomLeft" state="frozen"/>
      <selection pane="bottomLeft" activeCell="E13" sqref="E13"/>
    </sheetView>
  </sheetViews>
  <sheetFormatPr defaultRowHeight="21.6" customHeight="1" x14ac:dyDescent="0.35"/>
  <cols>
    <col min="1" max="1" width="1.81640625" customWidth="1"/>
    <col min="3" max="3" width="16" bestFit="1" customWidth="1"/>
    <col min="4" max="4" width="18" customWidth="1"/>
    <col min="5" max="5" width="14.36328125" customWidth="1"/>
    <col min="6" max="17" width="4.36328125" customWidth="1"/>
    <col min="18" max="18" width="18.36328125" customWidth="1"/>
    <col min="19" max="19" width="8.7265625" hidden="1" customWidth="1"/>
    <col min="20" max="20" width="5.1796875" style="3" customWidth="1"/>
    <col min="21" max="32" width="8.7265625" style="3"/>
  </cols>
  <sheetData>
    <row r="1" spans="2:32" ht="4.8" customHeight="1" x14ac:dyDescent="0.35"/>
    <row r="2" spans="2:32" ht="57" customHeight="1" x14ac:dyDescent="0.35">
      <c r="B2" s="35" t="s">
        <v>17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U2" s="22">
        <f>Table2[[#Totals],[Compliation Percentage]]</f>
        <v>0.6166666666666667</v>
      </c>
      <c r="V2" s="22">
        <f>1-U2</f>
        <v>0.3833333333333333</v>
      </c>
    </row>
    <row r="3" spans="2:32" ht="69" customHeight="1" thickBot="1" x14ac:dyDescent="0.4">
      <c r="B3" s="8"/>
      <c r="C3" s="8"/>
      <c r="D3" s="12"/>
      <c r="E3" s="1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U3" s="3">
        <f ca="1">COUNTIF(Table2[Joining Date],"&gt;"&amp;TODAY())</f>
        <v>2</v>
      </c>
    </row>
    <row r="4" spans="2:32" ht="76.2" thickTop="1" x14ac:dyDescent="0.35">
      <c r="B4" s="1" t="s">
        <v>0</v>
      </c>
      <c r="C4" s="1" t="s">
        <v>1</v>
      </c>
      <c r="D4" s="1" t="s">
        <v>2</v>
      </c>
      <c r="E4" s="1" t="s">
        <v>3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5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4</v>
      </c>
      <c r="Q4" s="2" t="s">
        <v>15</v>
      </c>
      <c r="R4" s="1" t="s">
        <v>18</v>
      </c>
      <c r="S4" s="1" t="s">
        <v>23</v>
      </c>
      <c r="U4" s="3">
        <f>COUNTA(Table2[Name])</f>
        <v>5</v>
      </c>
    </row>
    <row r="5" spans="2:32" ht="21.6" customHeight="1" x14ac:dyDescent="0.35">
      <c r="B5" s="6">
        <v>10023</v>
      </c>
      <c r="C5" s="6" t="s">
        <v>19</v>
      </c>
      <c r="D5" s="6" t="s">
        <v>20</v>
      </c>
      <c r="E5" s="7">
        <v>43938</v>
      </c>
      <c r="F5" s="4" t="s">
        <v>16</v>
      </c>
      <c r="G5" s="4" t="s">
        <v>16</v>
      </c>
      <c r="H5" s="4" t="s">
        <v>16</v>
      </c>
      <c r="I5" s="4" t="s">
        <v>16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  <c r="O5" s="4" t="s">
        <v>16</v>
      </c>
      <c r="P5" s="4" t="s">
        <v>16</v>
      </c>
      <c r="Q5" s="4" t="s">
        <v>16</v>
      </c>
      <c r="R5" s="5" t="str">
        <f>IF(COUNTA(Table2[[#This Row],[CV]:[IBAN]])=12,"File is Completed","Uncompleted")</f>
        <v>File is Completed</v>
      </c>
      <c r="S5" s="10">
        <f>COUNTA(Table2[[#This Row],[CV]:[IBAN]])/12</f>
        <v>1</v>
      </c>
    </row>
    <row r="6" spans="2:32" ht="21.6" customHeight="1" x14ac:dyDescent="0.35">
      <c r="B6" s="13">
        <v>99403</v>
      </c>
      <c r="C6" s="13" t="s">
        <v>21</v>
      </c>
      <c r="D6" s="13" t="s">
        <v>22</v>
      </c>
      <c r="E6" s="18">
        <v>43938</v>
      </c>
      <c r="F6" s="14" t="s">
        <v>16</v>
      </c>
      <c r="G6" s="14"/>
      <c r="H6" s="14"/>
      <c r="I6" s="14"/>
      <c r="J6" s="14" t="s">
        <v>16</v>
      </c>
      <c r="K6" s="14" t="s">
        <v>16</v>
      </c>
      <c r="L6" s="14" t="s">
        <v>16</v>
      </c>
      <c r="M6" s="14" t="s">
        <v>16</v>
      </c>
      <c r="N6" s="14" t="s">
        <v>16</v>
      </c>
      <c r="O6" s="14" t="s">
        <v>16</v>
      </c>
      <c r="P6" s="14" t="s">
        <v>16</v>
      </c>
      <c r="Q6" s="14" t="s">
        <v>16</v>
      </c>
      <c r="R6" s="13" t="str">
        <f>IF(COUNTA(Table2[[#This Row],[CV]:[IBAN]])=12,"File is Completed","Uncompleted")</f>
        <v>Uncompleted</v>
      </c>
      <c r="S6" s="15">
        <f>COUNTA(Table2[[#This Row],[CV]:[IBAN]])/12</f>
        <v>0.75</v>
      </c>
      <c r="U6" s="3" t="s">
        <v>6</v>
      </c>
      <c r="V6" s="3" t="s">
        <v>7</v>
      </c>
      <c r="W6" s="3" t="s">
        <v>26</v>
      </c>
      <c r="X6" s="3" t="s">
        <v>9</v>
      </c>
      <c r="Y6" s="3" t="s">
        <v>10</v>
      </c>
      <c r="Z6" s="3" t="s">
        <v>5</v>
      </c>
      <c r="AA6" s="3" t="s">
        <v>11</v>
      </c>
      <c r="AB6" s="3" t="s">
        <v>12</v>
      </c>
      <c r="AC6" s="3" t="s">
        <v>13</v>
      </c>
      <c r="AD6" s="3" t="s">
        <v>14</v>
      </c>
      <c r="AE6" s="3" t="s">
        <v>4</v>
      </c>
      <c r="AF6" s="3" t="s">
        <v>15</v>
      </c>
    </row>
    <row r="7" spans="2:32" ht="21.6" customHeight="1" x14ac:dyDescent="0.35">
      <c r="B7" s="6">
        <v>99403</v>
      </c>
      <c r="C7" s="6" t="s">
        <v>24</v>
      </c>
      <c r="D7" s="6" t="s">
        <v>22</v>
      </c>
      <c r="E7" s="18">
        <v>43939</v>
      </c>
      <c r="F7" s="4" t="s">
        <v>16</v>
      </c>
      <c r="G7" s="4"/>
      <c r="H7" s="4"/>
      <c r="I7" s="4"/>
      <c r="J7" s="4"/>
      <c r="K7" s="4"/>
      <c r="L7" s="4"/>
      <c r="M7" s="4" t="s">
        <v>16</v>
      </c>
      <c r="N7" s="4" t="s">
        <v>16</v>
      </c>
      <c r="O7" s="4"/>
      <c r="P7" s="4"/>
      <c r="Q7" s="4"/>
      <c r="R7" s="9" t="str">
        <f>IF(COUNTA(Table2[[#This Row],[CV]:[IBAN]])=12,"File is Completed","Uncompleted")</f>
        <v>Uncompleted</v>
      </c>
      <c r="S7" s="11">
        <f>COUNTA(Table2[[#This Row],[CV]:[IBAN]])/12</f>
        <v>0.25</v>
      </c>
      <c r="U7" s="23">
        <f>Table2[[#Totals],[CV]]/$U$4</f>
        <v>1</v>
      </c>
      <c r="V7" s="23">
        <f>Table2[[#Totals],[Rec. Approval]]/$U$4</f>
        <v>0.6</v>
      </c>
      <c r="W7" s="23">
        <f>Table2[[#Totals],[Interview Sheet]]/$U$4</f>
        <v>0.6</v>
      </c>
      <c r="X7" s="23">
        <f>Table2[[#Totals],[Offer]]/$U$4</f>
        <v>0.6</v>
      </c>
      <c r="Y7" s="23">
        <f>Table2[[#Totals],[Education Cer.]]/$U$4</f>
        <v>0.6</v>
      </c>
      <c r="Z7" s="23">
        <f>Table2[[#Totals],[ID]]/$U$4</f>
        <v>0.4</v>
      </c>
      <c r="AA7" s="23">
        <f>Table2[[#Totals],[Family ID]]/$U$4</f>
        <v>0.4</v>
      </c>
      <c r="AB7" s="23">
        <f>Table2[[#Totals],[Medical Test]]/$U$4</f>
        <v>0.8</v>
      </c>
      <c r="AC7" s="23">
        <f>Table2[[#Totals],[Photos]]/$U$4</f>
        <v>0.8</v>
      </c>
      <c r="AD7" s="23">
        <f>Table2[[#Totals],[Joining]]/$U$4</f>
        <v>0.4</v>
      </c>
      <c r="AE7" s="23">
        <f>Table2[[#Totals],[Contract]]/$U$4</f>
        <v>0.8</v>
      </c>
      <c r="AF7" s="23">
        <f>Table2[[#Totals],[IBAN]]/$U$4</f>
        <v>0.4</v>
      </c>
    </row>
    <row r="8" spans="2:32" ht="21.6" customHeight="1" x14ac:dyDescent="0.35">
      <c r="B8" s="6">
        <v>99406</v>
      </c>
      <c r="C8" s="6" t="s">
        <v>25</v>
      </c>
      <c r="D8" s="6" t="s">
        <v>20</v>
      </c>
      <c r="E8" s="7">
        <v>43952</v>
      </c>
      <c r="F8" s="4" t="s">
        <v>16</v>
      </c>
      <c r="G8" s="4" t="s">
        <v>16</v>
      </c>
      <c r="H8" s="4" t="s">
        <v>16</v>
      </c>
      <c r="I8" s="4" t="s">
        <v>16</v>
      </c>
      <c r="J8" s="4"/>
      <c r="K8" s="4"/>
      <c r="L8" s="4"/>
      <c r="M8" s="4" t="s">
        <v>16</v>
      </c>
      <c r="N8" s="4" t="s">
        <v>16</v>
      </c>
      <c r="O8" s="4"/>
      <c r="P8" s="4" t="s">
        <v>16</v>
      </c>
      <c r="Q8" s="4"/>
      <c r="R8" s="9" t="str">
        <f>IF(COUNTA(Table2[[#This Row],[CV]:[IBAN]])=12,"File is Completed","Uncompleted")</f>
        <v>Uncompleted</v>
      </c>
      <c r="S8" s="11">
        <f>COUNTA(Table2[[#This Row],[CV]:[IBAN]])/12</f>
        <v>0.58333333333333337</v>
      </c>
    </row>
    <row r="9" spans="2:32" ht="21.6" customHeight="1" x14ac:dyDescent="0.35">
      <c r="B9" s="6">
        <v>84384</v>
      </c>
      <c r="C9" s="6" t="s">
        <v>27</v>
      </c>
      <c r="D9" s="6" t="s">
        <v>28</v>
      </c>
      <c r="E9" s="7">
        <v>43940</v>
      </c>
      <c r="F9" s="4" t="s">
        <v>16</v>
      </c>
      <c r="G9" s="4" t="s">
        <v>16</v>
      </c>
      <c r="H9" s="4" t="s">
        <v>16</v>
      </c>
      <c r="I9" s="4" t="s">
        <v>16</v>
      </c>
      <c r="J9" s="4" t="s">
        <v>16</v>
      </c>
      <c r="K9" s="4"/>
      <c r="L9" s="4"/>
      <c r="M9" s="4"/>
      <c r="N9" s="4"/>
      <c r="O9" s="4"/>
      <c r="P9" s="4" t="s">
        <v>16</v>
      </c>
      <c r="Q9" s="4"/>
      <c r="R9" s="9" t="str">
        <f>IF(COUNTA(Table2[[#This Row],[CV]:[IBAN]])=12,"File is Completed","Uncompleted")</f>
        <v>Uncompleted</v>
      </c>
      <c r="S9" s="11">
        <f>COUNTA(Table2[[#This Row],[CV]:[IBAN]])/12</f>
        <v>0.5</v>
      </c>
    </row>
    <row r="10" spans="2:32" ht="21.6" customHeight="1" x14ac:dyDescent="0.35">
      <c r="B10" s="16"/>
      <c r="C10" s="16"/>
      <c r="D10" s="16"/>
      <c r="E10" s="16"/>
      <c r="F10" s="20">
        <f>SUBTOTAL(103,Table2[CV])</f>
        <v>5</v>
      </c>
      <c r="G10" s="20">
        <f>SUBTOTAL(103,Table2[Rec. Approval])</f>
        <v>3</v>
      </c>
      <c r="H10" s="20">
        <f>SUBTOTAL(103,Table2[Interview Sheet])</f>
        <v>3</v>
      </c>
      <c r="I10" s="20">
        <f>SUBTOTAL(103,Table2[Offer])</f>
        <v>3</v>
      </c>
      <c r="J10" s="20">
        <f>SUBTOTAL(103,Table2[Education Cer.])</f>
        <v>3</v>
      </c>
      <c r="K10" s="21">
        <f>SUBTOTAL(103,Table2[ID])</f>
        <v>2</v>
      </c>
      <c r="L10" s="20">
        <f>SUBTOTAL(103,Table2[Family ID])</f>
        <v>2</v>
      </c>
      <c r="M10" s="20">
        <f>SUBTOTAL(103,Table2[Medical Test])</f>
        <v>4</v>
      </c>
      <c r="N10" s="20">
        <f>SUBTOTAL(103,Table2[Photos])</f>
        <v>4</v>
      </c>
      <c r="O10" s="20">
        <f>SUBTOTAL(103,Table2[Joining])</f>
        <v>2</v>
      </c>
      <c r="P10" s="20">
        <f>SUBTOTAL(103,Table2[Contract])</f>
        <v>4</v>
      </c>
      <c r="Q10" s="20">
        <f>SUBTOTAL(103,Table2[IBAN])</f>
        <v>2</v>
      </c>
      <c r="R10" s="17"/>
      <c r="S10" s="19">
        <f>SUBTOTAL(101,Table2[Compliation Percentage])</f>
        <v>0.6166666666666667</v>
      </c>
    </row>
  </sheetData>
  <mergeCells count="1">
    <mergeCell ref="B2:R2"/>
  </mergeCells>
  <conditionalFormatting sqref="F5:Q10">
    <cfRule type="cellIs" dxfId="79" priority="1" operator="equal">
      <formula>"ü"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E826D-59FB-4D26-A491-74BCF10E702C}">
  <sheetPr codeName="Sheet1"/>
  <dimension ref="B1:AH8"/>
  <sheetViews>
    <sheetView showGridLines="0" workbookViewId="0">
      <selection activeCell="V4" sqref="V4"/>
    </sheetView>
  </sheetViews>
  <sheetFormatPr defaultRowHeight="25.8" customHeight="1" x14ac:dyDescent="0.35"/>
  <cols>
    <col min="1" max="1" width="1.1796875" customWidth="1"/>
    <col min="2" max="2" width="8.7265625" customWidth="1"/>
    <col min="3" max="3" width="22.1796875" customWidth="1"/>
    <col min="4" max="4" width="17.90625" customWidth="1"/>
    <col min="5" max="5" width="11" customWidth="1"/>
    <col min="6" max="17" width="4.1796875" customWidth="1"/>
    <col min="18" max="18" width="16.81640625" customWidth="1"/>
    <col min="19" max="19" width="9.90625" hidden="1" customWidth="1"/>
    <col min="20" max="34" width="8.7265625" style="3"/>
  </cols>
  <sheetData>
    <row r="1" spans="2:33" ht="7.2" customHeight="1" x14ac:dyDescent="0.35"/>
    <row r="2" spans="2:33" ht="57.6" customHeight="1" x14ac:dyDescent="0.35">
      <c r="B2" s="36" t="s">
        <v>29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T2" s="22">
        <f>Table1[[#Totals],[Compilation Percentage]]</f>
        <v>0.58333333333333337</v>
      </c>
      <c r="U2" s="22">
        <f>1-T2</f>
        <v>0.41666666666666663</v>
      </c>
    </row>
    <row r="3" spans="2:33" ht="69" customHeight="1" thickBot="1" x14ac:dyDescent="0.4">
      <c r="B3" s="31"/>
      <c r="C3" s="31"/>
      <c r="D3" s="32"/>
      <c r="E3" s="3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U3" s="3">
        <f ca="1">COUNTIF(Table1[Joining Date],"&gt;"&amp;TODAY())</f>
        <v>1</v>
      </c>
      <c r="X3" s="3">
        <f>COUNTA(Table1[Name])</f>
        <v>3</v>
      </c>
    </row>
    <row r="4" spans="2:33" ht="80.400000000000006" customHeight="1" thickTop="1" x14ac:dyDescent="0.35">
      <c r="B4" s="24" t="s">
        <v>0</v>
      </c>
      <c r="C4" s="24" t="s">
        <v>1</v>
      </c>
      <c r="D4" s="24" t="s">
        <v>2</v>
      </c>
      <c r="E4" s="24" t="s">
        <v>3</v>
      </c>
      <c r="F4" s="25" t="s">
        <v>6</v>
      </c>
      <c r="G4" s="25" t="s">
        <v>7</v>
      </c>
      <c r="H4" s="25" t="s">
        <v>8</v>
      </c>
      <c r="I4" s="25" t="s">
        <v>9</v>
      </c>
      <c r="J4" s="25" t="s">
        <v>10</v>
      </c>
      <c r="K4" s="25" t="s">
        <v>5</v>
      </c>
      <c r="L4" s="25" t="s">
        <v>11</v>
      </c>
      <c r="M4" s="25" t="s">
        <v>12</v>
      </c>
      <c r="N4" s="25" t="s">
        <v>13</v>
      </c>
      <c r="O4" s="25" t="s">
        <v>14</v>
      </c>
      <c r="P4" s="25" t="s">
        <v>4</v>
      </c>
      <c r="Q4" s="25" t="s">
        <v>15</v>
      </c>
      <c r="R4" s="24" t="s">
        <v>18</v>
      </c>
      <c r="S4" s="28" t="s">
        <v>31</v>
      </c>
      <c r="V4" s="3" t="s">
        <v>6</v>
      </c>
      <c r="W4" s="3" t="s">
        <v>7</v>
      </c>
      <c r="X4" s="3" t="s">
        <v>8</v>
      </c>
      <c r="Y4" s="3" t="s">
        <v>9</v>
      </c>
      <c r="Z4" s="3" t="s">
        <v>10</v>
      </c>
      <c r="AA4" s="3" t="s">
        <v>5</v>
      </c>
      <c r="AB4" s="3" t="s">
        <v>11</v>
      </c>
      <c r="AC4" s="3" t="s">
        <v>12</v>
      </c>
      <c r="AD4" s="3" t="s">
        <v>13</v>
      </c>
      <c r="AE4" s="3" t="s">
        <v>14</v>
      </c>
      <c r="AF4" s="3" t="s">
        <v>4</v>
      </c>
      <c r="AG4" s="3" t="s">
        <v>15</v>
      </c>
    </row>
    <row r="5" spans="2:33" ht="25.8" customHeight="1" x14ac:dyDescent="0.35">
      <c r="B5" s="1">
        <v>12310</v>
      </c>
      <c r="C5" s="1" t="s">
        <v>19</v>
      </c>
      <c r="D5" s="1" t="s">
        <v>20</v>
      </c>
      <c r="E5" s="27">
        <v>43941</v>
      </c>
      <c r="F5" s="26" t="s">
        <v>16</v>
      </c>
      <c r="G5" s="26" t="s">
        <v>16</v>
      </c>
      <c r="H5" s="26" t="s">
        <v>16</v>
      </c>
      <c r="I5" s="26" t="s">
        <v>16</v>
      </c>
      <c r="J5" s="26" t="s">
        <v>16</v>
      </c>
      <c r="K5" s="26" t="s">
        <v>16</v>
      </c>
      <c r="L5" s="26" t="s">
        <v>16</v>
      </c>
      <c r="M5" s="26" t="s">
        <v>16</v>
      </c>
      <c r="N5" s="26" t="s">
        <v>16</v>
      </c>
      <c r="O5" s="26" t="s">
        <v>16</v>
      </c>
      <c r="P5" s="26" t="s">
        <v>16</v>
      </c>
      <c r="Q5" s="26" t="s">
        <v>16</v>
      </c>
      <c r="R5" s="1" t="str">
        <f>IF(COUNTA(F5:Q7)=12,"File is Completed","Uncompleted")</f>
        <v>Uncompleted</v>
      </c>
      <c r="S5" s="29">
        <f t="shared" ref="S5:S6" si="0">COUNTA(F5:Q5)/12</f>
        <v>1</v>
      </c>
      <c r="V5" s="23">
        <f>Table1[[#Totals],[CV]]/$X$3</f>
        <v>0.66666666666666663</v>
      </c>
      <c r="W5" s="23">
        <f>Table1[[#Totals],[Rec. Approval]]/$X$3</f>
        <v>0.33333333333333331</v>
      </c>
      <c r="X5" s="23">
        <f>Table1[[#Totals],[Interview Sheet]]/$X$3</f>
        <v>1</v>
      </c>
      <c r="Y5" s="23">
        <f>Table1[[#Totals],[Offer]]/$X$3</f>
        <v>0.33333333333333331</v>
      </c>
      <c r="Z5" s="23">
        <f>Table1[[#Totals],[Education Cer.]]/$X$3</f>
        <v>0.66666666666666663</v>
      </c>
      <c r="AA5" s="23">
        <f>Table1[[#Totals],[ID]]/$X$3</f>
        <v>0.33333333333333331</v>
      </c>
      <c r="AB5" s="23">
        <f>Table1[[#Totals],[Family ID]]/$X$3</f>
        <v>1</v>
      </c>
      <c r="AC5" s="23">
        <f>Table1[[#Totals],[Medical Test]]/$X$3</f>
        <v>0.33333333333333331</v>
      </c>
      <c r="AD5" s="23">
        <f>Table1[[#Totals],[Photos]]/$X$3</f>
        <v>0.66666666666666663</v>
      </c>
      <c r="AE5" s="23">
        <f>Table1[[#Totals],[Joining]]/$X$3</f>
        <v>0.66666666666666663</v>
      </c>
      <c r="AF5" s="23">
        <f>Table1[[#Totals],[Contract]]/$X$3</f>
        <v>0.66666666666666663</v>
      </c>
      <c r="AG5" s="23">
        <f>Table1[[#Totals],[IBAN]]/$X$3</f>
        <v>0.33333333333333331</v>
      </c>
    </row>
    <row r="6" spans="2:33" ht="25.8" customHeight="1" x14ac:dyDescent="0.35">
      <c r="B6" s="1">
        <v>3995</v>
      </c>
      <c r="C6" s="1" t="s">
        <v>30</v>
      </c>
      <c r="D6" s="1" t="s">
        <v>22</v>
      </c>
      <c r="E6" s="27">
        <v>43939</v>
      </c>
      <c r="F6" s="26"/>
      <c r="G6" s="26"/>
      <c r="H6" s="26" t="s">
        <v>16</v>
      </c>
      <c r="I6" s="26"/>
      <c r="J6" s="26" t="s">
        <v>16</v>
      </c>
      <c r="K6" s="26"/>
      <c r="L6" s="26" t="s">
        <v>16</v>
      </c>
      <c r="M6" s="26"/>
      <c r="N6" s="26" t="s">
        <v>16</v>
      </c>
      <c r="O6" s="26"/>
      <c r="P6" s="26" t="s">
        <v>16</v>
      </c>
      <c r="Q6" s="26"/>
      <c r="R6" s="1" t="str">
        <f>IF(COUNTA(F6:Q8)=12,"File is Completed","Uncompleted")</f>
        <v>Uncompleted</v>
      </c>
      <c r="S6" s="29">
        <f t="shared" si="0"/>
        <v>0.41666666666666669</v>
      </c>
    </row>
    <row r="7" spans="2:33" ht="25.8" customHeight="1" x14ac:dyDescent="0.35">
      <c r="B7" s="1">
        <v>9940</v>
      </c>
      <c r="C7" s="1" t="s">
        <v>32</v>
      </c>
      <c r="D7" s="1" t="s">
        <v>28</v>
      </c>
      <c r="E7" s="27">
        <v>43938</v>
      </c>
      <c r="F7" s="26" t="s">
        <v>16</v>
      </c>
      <c r="G7" s="26"/>
      <c r="H7" s="26" t="s">
        <v>16</v>
      </c>
      <c r="I7" s="26"/>
      <c r="J7" s="26"/>
      <c r="K7" s="26"/>
      <c r="L7" s="26" t="s">
        <v>16</v>
      </c>
      <c r="M7" s="26"/>
      <c r="N7" s="26"/>
      <c r="O7" s="26" t="s">
        <v>16</v>
      </c>
      <c r="P7" s="26"/>
      <c r="Q7" s="26"/>
      <c r="R7" s="1" t="str">
        <f>IF(COUNTA(F7:Q9)=12,"File is Completed","Uncompleted")</f>
        <v>Uncompleted</v>
      </c>
      <c r="S7" s="29">
        <f>COUNTA(F7:Q7)/12</f>
        <v>0.33333333333333331</v>
      </c>
    </row>
    <row r="8" spans="2:33" ht="25.8" customHeight="1" x14ac:dyDescent="0.35">
      <c r="B8" s="30"/>
      <c r="C8" s="30"/>
      <c r="D8" s="30"/>
      <c r="E8" s="30"/>
      <c r="F8" s="34">
        <f>SUBTOTAL(103,Table1[CV])</f>
        <v>2</v>
      </c>
      <c r="G8" s="34">
        <f>SUBTOTAL(103,Table1[Rec. Approval])</f>
        <v>1</v>
      </c>
      <c r="H8" s="34">
        <f>SUBTOTAL(103,Table1[Interview Sheet])</f>
        <v>3</v>
      </c>
      <c r="I8" s="34">
        <f>SUBTOTAL(103,Table1[Offer])</f>
        <v>1</v>
      </c>
      <c r="J8" s="34">
        <f>SUBTOTAL(103,Table1[Education Cer.])</f>
        <v>2</v>
      </c>
      <c r="K8" s="34">
        <f>SUBTOTAL(103,Table1[ID])</f>
        <v>1</v>
      </c>
      <c r="L8" s="34">
        <f>SUBTOTAL(103,Table1[Family ID])</f>
        <v>3</v>
      </c>
      <c r="M8" s="34">
        <f>SUBTOTAL(103,Table1[Medical Test])</f>
        <v>1</v>
      </c>
      <c r="N8" s="34">
        <f>SUBTOTAL(103,Table1[Photos])</f>
        <v>2</v>
      </c>
      <c r="O8" s="34">
        <f>SUBTOTAL(103,Table1[Joining])</f>
        <v>2</v>
      </c>
      <c r="P8" s="34">
        <f>SUBTOTAL(103,Table1[Contract])</f>
        <v>2</v>
      </c>
      <c r="Q8" s="34">
        <f>SUBTOTAL(103,Table1[IBAN])</f>
        <v>1</v>
      </c>
      <c r="R8" s="30"/>
      <c r="S8" s="33">
        <f>SUBTOTAL(101,Table1[Compilation Percentage])</f>
        <v>0.58333333333333337</v>
      </c>
    </row>
  </sheetData>
  <mergeCells count="1">
    <mergeCell ref="B2:R2"/>
  </mergeCells>
  <conditionalFormatting sqref="F5:Q8">
    <cfRule type="cellIs" dxfId="39" priority="1" operator="equal">
      <formula>"ü"</formula>
    </cfRule>
  </conditionalFormatting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85DAC3-5577-4F92-BC50-C73326E4E765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B031620-0CD8-4AAE-8EC6-436B3D62E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DA176-6B9F-4034-AF79-8F915457D6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2019-06-20T11:23:19Z</dcterms:created>
  <dcterms:modified xsi:type="dcterms:W3CDTF">2020-04-18T10:31:28Z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